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145" activeTab="0"/>
  </bookViews>
  <sheets>
    <sheet name="RWH System Sizing" sheetId="1" r:id="rId1"/>
    <sheet name="Irrigation Demand Estimates" sheetId="2" r:id="rId2"/>
  </sheets>
  <definedNames>
    <definedName name="_xlnm.Print_Area" localSheetId="1">'Irrigation Demand Estimates'!#REF!</definedName>
  </definedNames>
  <calcPr fullCalcOnLoad="1"/>
</workbook>
</file>

<file path=xl/sharedStrings.xml><?xml version="1.0" encoding="utf-8"?>
<sst xmlns="http://schemas.openxmlformats.org/spreadsheetml/2006/main" count="141" uniqueCount="88">
  <si>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</si>
  <si>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</si>
  <si>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</si>
  <si>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</si>
  <si>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</si>
  <si>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</si>
  <si>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</si>
  <si>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</si>
  <si>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</si>
  <si>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</si>
  <si>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</si>
  <si>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</si>
  <si>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Median rainfall</t>
  </si>
  <si>
    <t>Rainfall collected (85% efficiency)</t>
  </si>
  <si>
    <t>Irrigation</t>
  </si>
  <si>
    <t>Collection surface size</t>
  </si>
  <si>
    <t>Total demand</t>
  </si>
  <si>
    <t>Indoor demand</t>
  </si>
  <si>
    <t>Irrigation annual total</t>
  </si>
  <si>
    <t>Average rainfall</t>
  </si>
  <si>
    <t>Catchment Area (sq. ft.)</t>
  </si>
  <si>
    <t>Raw Data                                                                 (Change to fit your circumstances)</t>
  </si>
  <si>
    <t>Square feet of irrigated area</t>
  </si>
  <si>
    <t>Irrigation Demand</t>
  </si>
  <si>
    <t>Example One: Storage Starting at 0 gallons; 12,000 Gallons Available Storage and Average Rainfall (Dallas)</t>
  </si>
  <si>
    <t>Example Two: Storage Starting at 0 gallons; 12,000 Gallons Available Storage and Median Rainfall (Dallas)</t>
  </si>
  <si>
    <t>Irrigated Area (sq. ft.)</t>
  </si>
  <si>
    <t>Efficiency factor</t>
  </si>
  <si>
    <r>
      <t>Gallons/ft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collection coefficient</t>
    </r>
  </si>
  <si>
    <t>PET*.6</t>
  </si>
  <si>
    <t>Irrigation factor*</t>
  </si>
  <si>
    <t>Data can be found at http://texaset.tamu.edu/. As an alternative one can use historic data specific to one's own community. A limited dataset is availalble at the TAMU site.</t>
  </si>
  <si>
    <t xml:space="preserve">* Irrigation Factor is cacluated by multiplying average historical potential evapotranspiration by 0.6 (a turf coefficient for warm season turfgrasses) and subtracting rainfall from the result.  </t>
  </si>
  <si>
    <t>End of month storage (starting with 0 gallons in storage)</t>
  </si>
  <si>
    <t>Please note that in the median rainfall scenario illustrated, the water in storage may eventually exceed the capacity of the cistern, which puts an effective limit on the end-of-month storage amount.</t>
  </si>
  <si>
    <t>Raw Data                                                                 (Change to fit your conditions)</t>
  </si>
  <si>
    <t>Tank Size (gal)</t>
  </si>
  <si>
    <t>RWH System Sizing Calculator - TWDB</t>
  </si>
  <si>
    <t>Outdoor demand is based upon a small low-water use landscape with minimal handheld irrigation; persons intending to irrigate larger areas or a vegetable garden, will need a larger catchment area and larger storage capacity to accommodate both indoor demand and outdoor irrigation in larger quantities.</t>
  </si>
  <si>
    <t xml:space="preserve">This calculator is provided for general guidance only. Design and installation of RWH facilities should be based on site-specific conditions and technical expertise. </t>
  </si>
  <si>
    <t xml:space="preserve">This table is for general guidance only. Site-specific irrigation demands may also be calculated by other methods, or as recommended by local water management professionals. </t>
  </si>
  <si>
    <t>Tank Size (gals)</t>
  </si>
  <si>
    <t xml:space="preserve">Storage Starting at </t>
  </si>
  <si>
    <t>gal storage</t>
  </si>
  <si>
    <t>actual rain (Paulding County HS 2007)</t>
  </si>
  <si>
    <t>Actual rainfall</t>
  </si>
  <si>
    <t>Tank Size</t>
  </si>
  <si>
    <t>Monthly Indoor (gals)</t>
  </si>
  <si>
    <t>Starting stored water (gal)</t>
  </si>
  <si>
    <r>
      <t>Monthly Outdoor</t>
    </r>
    <r>
      <rPr>
        <sz val="10"/>
        <rFont val="Arial"/>
        <family val="2"/>
      </rPr>
      <t xml:space="preserve"> </t>
    </r>
    <r>
      <rPr>
        <sz val="12"/>
        <rFont val="Arial"/>
        <family val="0"/>
      </rPr>
      <t>(gals)</t>
    </r>
  </si>
  <si>
    <t>Starting stored water</t>
  </si>
  <si>
    <t>Catchment Area</t>
  </si>
  <si>
    <t>**</t>
  </si>
  <si>
    <t>Your Actual monthly rainfall here</t>
  </si>
  <si>
    <t>***</t>
  </si>
  <si>
    <r>
      <t>Gallons/ft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collection coefficient</t>
    </r>
    <r>
      <rPr>
        <sz val="10"/>
        <color indexed="10"/>
        <rFont val="Arial"/>
        <family val="2"/>
      </rPr>
      <t>*</t>
    </r>
  </si>
  <si>
    <t>Notes</t>
  </si>
  <si>
    <r>
      <t xml:space="preserve">** </t>
    </r>
    <r>
      <rPr>
        <sz val="12"/>
        <rFont val="Arial"/>
        <family val="0"/>
      </rPr>
      <t>6800 gal for 1" water on 10000 sq ft</t>
    </r>
  </si>
  <si>
    <r>
      <t xml:space="preserve">* </t>
    </r>
    <r>
      <rPr>
        <sz val="10"/>
        <rFont val="Arial"/>
        <family val="0"/>
      </rPr>
      <t>asphalt shingle roof</t>
    </r>
  </si>
  <si>
    <t>Irrigate if rain &lt; inches</t>
  </si>
  <si>
    <r>
      <t xml:space="preserve">Your needs here </t>
    </r>
    <r>
      <rPr>
        <sz val="10"/>
        <rFont val="Arial"/>
        <family val="0"/>
      </rPr>
      <t>Indoor demand</t>
    </r>
  </si>
  <si>
    <r>
      <t>Your needs here</t>
    </r>
    <r>
      <rPr>
        <sz val="10"/>
        <rFont val="Arial"/>
        <family val="0"/>
      </rPr>
      <t xml:space="preserve"> Irrigation</t>
    </r>
  </si>
  <si>
    <t>Adapted from RWHSystemSizingCalculator.xls at http://groups.yahoo.com/group/rainwaterharvesting/files/</t>
  </si>
  <si>
    <t>John Carter</t>
  </si>
  <si>
    <t>ads@wizardanswers.com</t>
  </si>
  <si>
    <t xml:space="preserve">The calculation for end of month storage now understands that you can't have negative storage or collect more than the size of the tank. </t>
  </si>
  <si>
    <t>Changes in the formulas give what I think is a better representation of the capabilities of a given RWH configuration.</t>
  </si>
  <si>
    <t>The total fields at the bottom of some of the columns give a summary of needed and potentially available water amounts.</t>
  </si>
  <si>
    <t>The two charts have separate rainfall amounts, catchment areas and tank sizes to allow direct comparison of the amount of water available in different configurations.</t>
  </si>
  <si>
    <t>The "Irrigation" computation uses the "rain &lt; inches" value to determine how much water is needed to reach that minimum (up to the "Monthly Outdoor" value).</t>
  </si>
  <si>
    <r>
      <t>***</t>
    </r>
    <r>
      <rPr>
        <sz val="10"/>
        <rFont val="Arial"/>
        <family val="0"/>
      </rPr>
      <t xml:space="preserve"> 0 if always watering otherwise water to this total</t>
    </r>
  </si>
  <si>
    <t>To see what more storage means in the long term,</t>
  </si>
  <si>
    <t>put the December "End of month" value in the</t>
  </si>
  <si>
    <t>"Starting stored water" cell and look at the difference.</t>
  </si>
  <si>
    <t>You should run the figures for succeeding years using the water in storage at the end of each year.</t>
  </si>
  <si>
    <t>Totals</t>
  </si>
  <si>
    <t>actual rain (Paulding County HS 2007/8)</t>
  </si>
  <si>
    <t>Potential Rainfall collected (at listed efficiency)</t>
  </si>
  <si>
    <t>Potential rainfall collected (at listed efficiency)</t>
  </si>
  <si>
    <t xml:space="preserve"> (approx 1/4 acre)  0.68 gal/sq.ft. for 1in.</t>
  </si>
  <si>
    <r>
      <t>**</t>
    </r>
    <r>
      <rPr>
        <sz val="10"/>
        <color indexed="8"/>
        <rFont val="Arial"/>
        <family val="2"/>
      </rPr>
      <t xml:space="preserve"> 270 gal for 1" on 2 flower beds 4 times/month</t>
    </r>
  </si>
  <si>
    <t>End of month storage (starting w/water in storage)</t>
  </si>
  <si>
    <t xml:space="preserve">Efficiency factor  </t>
  </si>
  <si>
    <t>****</t>
  </si>
  <si>
    <t>****  2 people, 5 gal/person/day</t>
  </si>
  <si>
    <t xml:space="preserve">Please note that in the Average Rainfall scenario, the water in storage may eventually exceed the capacity of the cistern, which puts an effective limit on the end-of-month storage amount. </t>
  </si>
  <si>
    <t>formula in column N needs usage in column F subtracted in addition to usage in column G</t>
  </si>
  <si>
    <t>indoor + (irrigation - rainfall) Total demand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</si>
</sst>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"/>
    <numFmt numFmtId="167" formatCode="0.0"/>
    <numFmt numFmtId="168" formatCode="#,##0;[Red]#,##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0" fontId="3" fillId="3" borderId="1" xfId="0" applyFont="1" applyFill="1" applyBorder="1" applyAlignment="1">
      <alignment horizontal="centerContinuous" wrapText="1"/>
    </xf>
    <xf numFmtId="0" fontId="0" fillId="3" borderId="2" xfId="0" applyFill="1" applyBorder="1" applyAlignment="1">
      <alignment horizontal="centerContinuous" wrapText="1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3" fillId="4" borderId="5" xfId="0" applyNumberFormat="1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0" fontId="0" fillId="2" borderId="0" xfId="0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3" fillId="4" borderId="8" xfId="0" applyFont="1" applyFill="1" applyBorder="1" applyAlignment="1">
      <alignment/>
    </xf>
    <xf numFmtId="1" fontId="0" fillId="0" borderId="0" xfId="0" applyNumberFormat="1" applyAlignment="1">
      <alignment/>
    </xf>
    <xf numFmtId="0" fontId="3" fillId="5" borderId="1" xfId="0" applyFont="1" applyFill="1" applyBorder="1" applyAlignment="1">
      <alignment horizontal="centerContinuous" wrapText="1"/>
    </xf>
    <xf numFmtId="0" fontId="0" fillId="5" borderId="2" xfId="0" applyFill="1" applyBorder="1" applyAlignment="1">
      <alignment horizontal="centerContinuous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right" wrapText="1"/>
    </xf>
    <xf numFmtId="0" fontId="0" fillId="6" borderId="0" xfId="0" applyFont="1" applyFill="1" applyAlignment="1">
      <alignment horizontal="right" wrapText="1"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167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7" fontId="0" fillId="6" borderId="0" xfId="0" applyNumberFormat="1" applyFont="1" applyFill="1" applyAlignment="1">
      <alignment/>
    </xf>
    <xf numFmtId="2" fontId="0" fillId="6" borderId="0" xfId="0" applyNumberFormat="1" applyFont="1" applyFill="1" applyAlignment="1">
      <alignment/>
    </xf>
    <xf numFmtId="0" fontId="3" fillId="7" borderId="3" xfId="0" applyFont="1" applyFill="1" applyBorder="1" applyAlignment="1">
      <alignment/>
    </xf>
    <xf numFmtId="3" fontId="3" fillId="7" borderId="5" xfId="0" applyNumberFormat="1" applyFont="1" applyFill="1" applyBorder="1" applyAlignment="1">
      <alignment/>
    </xf>
    <xf numFmtId="0" fontId="3" fillId="7" borderId="4" xfId="0" applyFont="1" applyFill="1" applyBorder="1" applyAlignment="1">
      <alignment/>
    </xf>
    <xf numFmtId="3" fontId="3" fillId="7" borderId="6" xfId="0" applyNumberFormat="1" applyFont="1" applyFill="1" applyBorder="1" applyAlignment="1">
      <alignment/>
    </xf>
    <xf numFmtId="0" fontId="3" fillId="7" borderId="9" xfId="0" applyFont="1" applyFill="1" applyBorder="1" applyAlignment="1">
      <alignment/>
    </xf>
    <xf numFmtId="0" fontId="3" fillId="7" borderId="8" xfId="0" applyFont="1" applyFill="1" applyBorder="1" applyAlignment="1">
      <alignment/>
    </xf>
    <xf numFmtId="3" fontId="3" fillId="7" borderId="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/>
    </xf>
    <xf numFmtId="0" fontId="0" fillId="0" borderId="0" xfId="0" applyAlignment="1">
      <alignment wrapText="1"/>
    </xf>
    <xf numFmtId="0" fontId="7" fillId="6" borderId="0" xfId="0" applyFont="1" applyFill="1" applyAlignment="1">
      <alignment horizontal="right" wrapText="1"/>
    </xf>
    <xf numFmtId="0" fontId="7" fillId="0" borderId="0" xfId="0" applyFont="1" applyAlignment="1" quotePrefix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Fill="1" applyBorder="1" applyAlignment="1" quotePrefix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3" fillId="7" borderId="0" xfId="0" applyFont="1" applyFill="1" applyBorder="1" applyAlignment="1" quotePrefix="1">
      <alignment/>
    </xf>
    <xf numFmtId="169" fontId="3" fillId="7" borderId="7" xfId="0" applyNumberFormat="1" applyFont="1" applyFill="1" applyBorder="1" applyAlignment="1">
      <alignment/>
    </xf>
    <xf numFmtId="0" fontId="7" fillId="6" borderId="0" xfId="0" applyFont="1" applyFill="1" applyAlignment="1">
      <alignment horizontal="right" wrapText="1"/>
    </xf>
    <xf numFmtId="15" fontId="0" fillId="0" borderId="0" xfId="0" applyNumberFormat="1" applyAlignment="1">
      <alignment/>
    </xf>
    <xf numFmtId="0" fontId="1" fillId="0" borderId="0" xfId="20" applyAlignment="1">
      <alignment/>
    </xf>
    <xf numFmtId="0" fontId="0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s@wizardanswer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 topLeftCell="A3">
      <selection activeCell="C15" sqref="C15"/>
    </sheetView>
  </sheetViews>
  <sheetFormatPr defaultColWidth="9.140625" defaultRowHeight="12.75"/>
  <cols>
    <col min="1" max="1" width="2.00390625" style="0" customWidth="1"/>
    <col min="2" max="2" width="26.57421875" style="0" customWidth="1"/>
    <col min="6" max="6" width="7.57421875" style="0" customWidth="1"/>
    <col min="7" max="7" width="8.00390625" style="0" customWidth="1"/>
    <col min="8" max="8" width="9.140625" style="0" customWidth="1"/>
    <col min="9" max="9" width="7.421875" style="0" customWidth="1"/>
    <col min="11" max="11" width="9.8515625" style="0" customWidth="1"/>
    <col min="12" max="12" width="8.7109375" style="0" customWidth="1"/>
    <col min="13" max="13" width="14.7109375" style="0" customWidth="1"/>
    <col min="14" max="14" width="8.57421875" style="0" customWidth="1"/>
    <col min="15" max="15" width="9.7109375" style="0" bestFit="1" customWidth="1"/>
    <col min="16" max="16" width="6.140625" style="0" customWidth="1"/>
  </cols>
  <sheetData>
    <row r="1" ht="12.75">
      <c r="B1" t="s">
        <v>66</v>
      </c>
    </row>
    <row r="2" ht="12.75">
      <c r="B2" s="18" t="s">
        <v>65</v>
      </c>
    </row>
    <row r="3" ht="12.75">
      <c r="B3" s="18" t="s">
        <v>69</v>
      </c>
    </row>
    <row r="4" ht="12.75">
      <c r="B4" s="18" t="s">
        <v>68</v>
      </c>
    </row>
    <row r="5" ht="12.75">
      <c r="B5" s="18" t="s">
        <v>67</v>
      </c>
    </row>
    <row r="6" ht="12.75">
      <c r="B6" s="18" t="s">
        <v>74</v>
      </c>
    </row>
    <row r="7" ht="12.75">
      <c r="B7" s="18"/>
    </row>
    <row r="8" spans="2:11" ht="12.75">
      <c r="B8" s="51" t="s">
        <v>37</v>
      </c>
      <c r="C8" s="52"/>
      <c r="E8" t="s">
        <v>42</v>
      </c>
      <c r="G8" s="22">
        <f>C13</f>
        <v>0</v>
      </c>
      <c r="H8" s="22">
        <f>C14</f>
        <v>250</v>
      </c>
      <c r="I8" t="s">
        <v>43</v>
      </c>
      <c r="K8" t="s">
        <v>76</v>
      </c>
    </row>
    <row r="9" spans="2:15" ht="80.25" customHeight="1">
      <c r="B9" s="30" t="s">
        <v>35</v>
      </c>
      <c r="C9" s="31"/>
      <c r="E9" s="32"/>
      <c r="F9" s="65" t="s">
        <v>60</v>
      </c>
      <c r="G9" s="65" t="s">
        <v>61</v>
      </c>
      <c r="H9" s="33" t="s">
        <v>87</v>
      </c>
      <c r="I9" s="57" t="s">
        <v>53</v>
      </c>
      <c r="J9" s="33" t="s">
        <v>15</v>
      </c>
      <c r="K9" s="34" t="s">
        <v>55</v>
      </c>
      <c r="L9" s="34" t="s">
        <v>82</v>
      </c>
      <c r="M9" s="33" t="s">
        <v>77</v>
      </c>
      <c r="N9" s="35"/>
      <c r="O9" s="34" t="s">
        <v>81</v>
      </c>
    </row>
    <row r="10" spans="2:18" ht="15">
      <c r="B10" s="44" t="s">
        <v>20</v>
      </c>
      <c r="C10" s="45">
        <v>238</v>
      </c>
      <c r="E10" s="35" t="s">
        <v>0</v>
      </c>
      <c r="F10" s="36">
        <f>C11</f>
        <v>300</v>
      </c>
      <c r="G10" s="37">
        <f>'Irrigation Demand Estimates'!F3*'Irrigation Demand Estimates'!G3</f>
        <v>0</v>
      </c>
      <c r="H10" s="36">
        <f aca="true" t="shared" si="0" ref="H10:H21">F10+(IF(I10&gt;$C$15,0,MIN(G10,G10*($C$15-I10))))</f>
        <v>300</v>
      </c>
      <c r="I10" s="38">
        <v>2.45</v>
      </c>
      <c r="J10" s="36">
        <f>C10</f>
        <v>238</v>
      </c>
      <c r="K10" s="38">
        <v>0.62</v>
      </c>
      <c r="L10" s="35">
        <v>0.85</v>
      </c>
      <c r="M10" s="36">
        <f aca="true" t="shared" si="1" ref="M10:M21">I10*J10*K10*L10</f>
        <v>307.2937</v>
      </c>
      <c r="N10" s="22">
        <f>(IF(M10&gt;$C$14,$C$14,MAXA(0,($C13+$M10-(IF($I10&gt;2,0,$H10))))))</f>
        <v>250</v>
      </c>
      <c r="O10" s="36">
        <f>IF(N10&lt;0,0,IF(N10&gt;C14,C14,N10))</f>
        <v>250</v>
      </c>
      <c r="P10" s="22"/>
      <c r="Q10" s="22">
        <f>MAXA(0,($C13+$M10-(IF($I10&gt;2,0,$H10))))</f>
        <v>307.2937</v>
      </c>
      <c r="R10" s="29">
        <f aca="true" t="shared" si="2" ref="R10:R21">IF(Q10&lt;0,0,IF(Q10&gt;$C$14,$C$14,Q10))</f>
        <v>250</v>
      </c>
    </row>
    <row r="11" spans="2:18" ht="15">
      <c r="B11" s="46" t="s">
        <v>47</v>
      </c>
      <c r="C11" s="47">
        <v>300</v>
      </c>
      <c r="D11" s="69" t="s">
        <v>83</v>
      </c>
      <c r="E11" s="35" t="s">
        <v>1</v>
      </c>
      <c r="F11" s="36">
        <f aca="true" t="shared" si="3" ref="F11:F21">F10</f>
        <v>300</v>
      </c>
      <c r="G11" s="37">
        <f>'Irrigation Demand Estimates'!F4*'Irrigation Demand Estimates'!G4</f>
        <v>0</v>
      </c>
      <c r="H11" s="36">
        <f t="shared" si="0"/>
        <v>300</v>
      </c>
      <c r="I11" s="38">
        <v>4.09</v>
      </c>
      <c r="J11" s="36">
        <f aca="true" t="shared" si="4" ref="J11:J21">J10</f>
        <v>238</v>
      </c>
      <c r="K11" s="38">
        <v>0.62</v>
      </c>
      <c r="L11" s="35">
        <v>0.85</v>
      </c>
      <c r="M11" s="36">
        <f t="shared" si="1"/>
        <v>512.99234</v>
      </c>
      <c r="N11" s="22">
        <f aca="true" t="shared" si="5" ref="N11:N21">(IF(O10=$C$14,MIN($C$14,(O10+M11-H11)),MAXA(0,(O10+$M11-(IF($I11&gt;2,0,$H11))))))</f>
        <v>250</v>
      </c>
      <c r="O11" s="36">
        <f>IF(N11&lt;0,0,IF(N11&gt;C14,C14,N11))</f>
        <v>250</v>
      </c>
      <c r="Q11" s="22">
        <f>MAXA(0,(Q10+$M11-(IF($I11&gt;2,0,$H11))))</f>
        <v>820.28604</v>
      </c>
      <c r="R11" s="29">
        <f t="shared" si="2"/>
        <v>250</v>
      </c>
    </row>
    <row r="12" spans="2:18" ht="15">
      <c r="B12" s="46" t="s">
        <v>49</v>
      </c>
      <c r="C12" s="47">
        <v>270</v>
      </c>
      <c r="D12" s="58" t="s">
        <v>52</v>
      </c>
      <c r="E12" s="35" t="s">
        <v>2</v>
      </c>
      <c r="F12" s="36">
        <f t="shared" si="3"/>
        <v>300</v>
      </c>
      <c r="G12" s="37">
        <f>C12</f>
        <v>270</v>
      </c>
      <c r="H12" s="36">
        <f t="shared" si="0"/>
        <v>300</v>
      </c>
      <c r="I12" s="38">
        <v>2.22</v>
      </c>
      <c r="J12" s="36">
        <f t="shared" si="4"/>
        <v>238</v>
      </c>
      <c r="K12" s="38">
        <v>0.62</v>
      </c>
      <c r="L12" s="35">
        <v>0.85</v>
      </c>
      <c r="M12" s="36">
        <f t="shared" si="1"/>
        <v>278.44572</v>
      </c>
      <c r="N12" s="22">
        <f t="shared" si="5"/>
        <v>228.44571999999994</v>
      </c>
      <c r="O12" s="36">
        <f>IF(N12&lt;0,0,IF(N12&gt;C14,C14,N12))</f>
        <v>228.44571999999994</v>
      </c>
      <c r="Q12" s="22">
        <f aca="true" t="shared" si="6" ref="Q12:Q21">MAXA(0,(Q11+M12-(IF(I12&gt;2,0,H12))))</f>
        <v>1098.73176</v>
      </c>
      <c r="R12" s="29">
        <f t="shared" si="2"/>
        <v>250</v>
      </c>
    </row>
    <row r="13" spans="2:18" ht="15">
      <c r="B13" s="48" t="s">
        <v>48</v>
      </c>
      <c r="C13" s="47">
        <v>0</v>
      </c>
      <c r="D13" s="12"/>
      <c r="E13" s="35" t="s">
        <v>3</v>
      </c>
      <c r="F13" s="36">
        <f t="shared" si="3"/>
        <v>300</v>
      </c>
      <c r="G13" s="37">
        <f aca="true" t="shared" si="7" ref="G13:G19">G12</f>
        <v>270</v>
      </c>
      <c r="H13" s="36">
        <f t="shared" si="0"/>
        <v>386.40000000000003</v>
      </c>
      <c r="I13" s="38">
        <v>1.68</v>
      </c>
      <c r="J13" s="36">
        <f t="shared" si="4"/>
        <v>238</v>
      </c>
      <c r="K13" s="38">
        <v>0.62</v>
      </c>
      <c r="L13" s="35">
        <v>0.85</v>
      </c>
      <c r="M13" s="36">
        <f t="shared" si="1"/>
        <v>210.71567999999996</v>
      </c>
      <c r="N13" s="22">
        <f t="shared" si="5"/>
        <v>52.76139999999987</v>
      </c>
      <c r="O13" s="36">
        <f>IF(N13&lt;0,0,IF(N13&gt;C14,C14,N13))</f>
        <v>52.76139999999987</v>
      </c>
      <c r="Q13" s="22">
        <f t="shared" si="6"/>
        <v>923.0474399999998</v>
      </c>
      <c r="R13" s="29">
        <f t="shared" si="2"/>
        <v>250</v>
      </c>
    </row>
    <row r="14" spans="2:18" ht="15">
      <c r="B14" s="49" t="s">
        <v>36</v>
      </c>
      <c r="C14" s="50">
        <v>250</v>
      </c>
      <c r="D14" s="13"/>
      <c r="E14" s="35" t="s">
        <v>4</v>
      </c>
      <c r="F14" s="36">
        <f t="shared" si="3"/>
        <v>300</v>
      </c>
      <c r="G14" s="37">
        <f t="shared" si="7"/>
        <v>270</v>
      </c>
      <c r="H14" s="36">
        <f t="shared" si="0"/>
        <v>310.8</v>
      </c>
      <c r="I14" s="38">
        <v>1.96</v>
      </c>
      <c r="J14" s="36">
        <f t="shared" si="4"/>
        <v>238</v>
      </c>
      <c r="K14" s="38">
        <v>0.62</v>
      </c>
      <c r="L14" s="35">
        <v>0.85</v>
      </c>
      <c r="M14" s="36">
        <f t="shared" si="1"/>
        <v>245.83496</v>
      </c>
      <c r="N14" s="22">
        <f t="shared" si="5"/>
        <v>0</v>
      </c>
      <c r="O14" s="36">
        <f>IF(N14&lt;0,0,IF(N14&gt;C14,C14,N14))</f>
        <v>0</v>
      </c>
      <c r="Q14" s="22">
        <f t="shared" si="6"/>
        <v>858.0823999999998</v>
      </c>
      <c r="R14" s="29">
        <f t="shared" si="2"/>
        <v>250</v>
      </c>
    </row>
    <row r="15" spans="2:18" ht="15">
      <c r="B15" s="49" t="s">
        <v>59</v>
      </c>
      <c r="C15" s="64">
        <v>2</v>
      </c>
      <c r="D15" s="59" t="s">
        <v>54</v>
      </c>
      <c r="E15" s="35" t="s">
        <v>5</v>
      </c>
      <c r="F15" s="36">
        <f t="shared" si="3"/>
        <v>300</v>
      </c>
      <c r="G15" s="37">
        <f t="shared" si="7"/>
        <v>270</v>
      </c>
      <c r="H15" s="36">
        <f t="shared" si="0"/>
        <v>394.5</v>
      </c>
      <c r="I15" s="38">
        <v>1.65</v>
      </c>
      <c r="J15" s="36">
        <f t="shared" si="4"/>
        <v>238</v>
      </c>
      <c r="K15" s="38">
        <v>0.62</v>
      </c>
      <c r="L15" s="35">
        <v>0.85</v>
      </c>
      <c r="M15" s="36">
        <f t="shared" si="1"/>
        <v>206.9529</v>
      </c>
      <c r="N15" s="22">
        <f t="shared" si="5"/>
        <v>0</v>
      </c>
      <c r="O15" s="36">
        <f>IF(N15&lt;0,0,IF(N15&gt;C14,C14,N15))</f>
        <v>0</v>
      </c>
      <c r="Q15" s="22">
        <f t="shared" si="6"/>
        <v>670.5352999999998</v>
      </c>
      <c r="R15" s="29">
        <f t="shared" si="2"/>
        <v>250</v>
      </c>
    </row>
    <row r="16" spans="4:18" ht="12.75">
      <c r="D16" s="13"/>
      <c r="E16" s="35" t="s">
        <v>6</v>
      </c>
      <c r="F16" s="36">
        <f t="shared" si="3"/>
        <v>300</v>
      </c>
      <c r="G16" s="37">
        <f t="shared" si="7"/>
        <v>270</v>
      </c>
      <c r="H16" s="36">
        <f t="shared" si="0"/>
        <v>300</v>
      </c>
      <c r="I16" s="38">
        <v>5.93</v>
      </c>
      <c r="J16" s="36">
        <f t="shared" si="4"/>
        <v>238</v>
      </c>
      <c r="K16" s="38">
        <v>0.62</v>
      </c>
      <c r="L16" s="35">
        <v>0.85</v>
      </c>
      <c r="M16" s="36">
        <f t="shared" si="1"/>
        <v>743.77618</v>
      </c>
      <c r="N16" s="22">
        <f t="shared" si="5"/>
        <v>743.77618</v>
      </c>
      <c r="O16" s="36">
        <f>IF(N16&lt;0,0,IF(N16&gt;C14,C14,N16))</f>
        <v>250</v>
      </c>
      <c r="Q16" s="22">
        <f t="shared" si="6"/>
        <v>1414.3114799999998</v>
      </c>
      <c r="R16" s="29">
        <f t="shared" si="2"/>
        <v>250</v>
      </c>
    </row>
    <row r="17" spans="2:18" ht="15">
      <c r="B17" s="63" t="s">
        <v>56</v>
      </c>
      <c r="E17" s="35" t="s">
        <v>7</v>
      </c>
      <c r="F17" s="36">
        <f t="shared" si="3"/>
        <v>300</v>
      </c>
      <c r="G17" s="37">
        <f t="shared" si="7"/>
        <v>270</v>
      </c>
      <c r="H17" s="36">
        <f t="shared" si="0"/>
        <v>300</v>
      </c>
      <c r="I17" s="38">
        <v>2.62</v>
      </c>
      <c r="J17" s="36">
        <f t="shared" si="4"/>
        <v>238</v>
      </c>
      <c r="K17" s="38">
        <v>0.62</v>
      </c>
      <c r="L17" s="35">
        <v>0.85</v>
      </c>
      <c r="M17" s="36">
        <f t="shared" si="1"/>
        <v>328.61612</v>
      </c>
      <c r="N17" s="22">
        <f t="shared" si="5"/>
        <v>250</v>
      </c>
      <c r="O17" s="36">
        <f>IF(N17&lt;0,0,IF(N17&gt;C14,C14,N17))</f>
        <v>250</v>
      </c>
      <c r="Q17" s="22">
        <f t="shared" si="6"/>
        <v>1742.9276</v>
      </c>
      <c r="R17" s="29">
        <f t="shared" si="2"/>
        <v>250</v>
      </c>
    </row>
    <row r="18" spans="2:18" ht="12.75">
      <c r="B18" s="61" t="s">
        <v>58</v>
      </c>
      <c r="E18" s="35" t="s">
        <v>8</v>
      </c>
      <c r="F18" s="36">
        <f t="shared" si="3"/>
        <v>300</v>
      </c>
      <c r="G18" s="37">
        <f t="shared" si="7"/>
        <v>270</v>
      </c>
      <c r="H18" s="36">
        <f t="shared" si="0"/>
        <v>570</v>
      </c>
      <c r="I18" s="38">
        <v>0.93</v>
      </c>
      <c r="J18" s="36">
        <f t="shared" si="4"/>
        <v>238</v>
      </c>
      <c r="K18" s="38">
        <v>0.62</v>
      </c>
      <c r="L18" s="35">
        <v>0.85</v>
      </c>
      <c r="M18" s="36">
        <f t="shared" si="1"/>
        <v>116.64617999999999</v>
      </c>
      <c r="N18" s="22">
        <f t="shared" si="5"/>
        <v>-203.35382000000004</v>
      </c>
      <c r="O18" s="36">
        <f>IF(N18&lt;0,0,IF(N18&gt;C14,C14,N18))</f>
        <v>0</v>
      </c>
      <c r="Q18" s="22">
        <f t="shared" si="6"/>
        <v>1289.57378</v>
      </c>
      <c r="R18" s="29">
        <f t="shared" si="2"/>
        <v>250</v>
      </c>
    </row>
    <row r="19" spans="2:18" ht="15">
      <c r="B19" s="60" t="s">
        <v>57</v>
      </c>
      <c r="E19" s="35" t="s">
        <v>9</v>
      </c>
      <c r="F19" s="36">
        <f t="shared" si="3"/>
        <v>300</v>
      </c>
      <c r="G19" s="37">
        <f t="shared" si="7"/>
        <v>270</v>
      </c>
      <c r="H19" s="36">
        <f t="shared" si="0"/>
        <v>300</v>
      </c>
      <c r="I19" s="38">
        <v>2.63</v>
      </c>
      <c r="J19" s="36">
        <f t="shared" si="4"/>
        <v>238</v>
      </c>
      <c r="K19" s="38">
        <v>0.62</v>
      </c>
      <c r="L19" s="35">
        <v>0.85</v>
      </c>
      <c r="M19" s="36">
        <f t="shared" si="1"/>
        <v>329.87037999999995</v>
      </c>
      <c r="N19" s="22">
        <f t="shared" si="5"/>
        <v>329.87037999999995</v>
      </c>
      <c r="O19" s="36">
        <f>IF(N19&lt;0,0,IF(N19&gt;C14,C14,N19))</f>
        <v>250</v>
      </c>
      <c r="Q19" s="22">
        <f t="shared" si="6"/>
        <v>1619.44416</v>
      </c>
      <c r="R19" s="29">
        <f t="shared" si="2"/>
        <v>250</v>
      </c>
    </row>
    <row r="20" spans="2:18" ht="12.75">
      <c r="B20" s="68" t="s">
        <v>79</v>
      </c>
      <c r="E20" s="35" t="s">
        <v>10</v>
      </c>
      <c r="F20" s="36">
        <f t="shared" si="3"/>
        <v>300</v>
      </c>
      <c r="G20" s="37">
        <f>'Irrigation Demand Estimates'!F13*'Irrigation Demand Estimates'!G13</f>
        <v>0</v>
      </c>
      <c r="H20" s="36">
        <f t="shared" si="0"/>
        <v>300</v>
      </c>
      <c r="I20" s="38">
        <v>1.69</v>
      </c>
      <c r="J20" s="36">
        <f t="shared" si="4"/>
        <v>238</v>
      </c>
      <c r="K20" s="38">
        <v>0.62</v>
      </c>
      <c r="L20" s="35">
        <v>0.85</v>
      </c>
      <c r="M20" s="36">
        <f t="shared" si="1"/>
        <v>211.96993999999998</v>
      </c>
      <c r="N20" s="22">
        <f t="shared" si="5"/>
        <v>161.96993999999995</v>
      </c>
      <c r="O20" s="36">
        <f>IF(N20&lt;0,0,IF(N20&gt;C14,C14,N20))</f>
        <v>161.96993999999995</v>
      </c>
      <c r="Q20" s="22">
        <f t="shared" si="6"/>
        <v>1531.4141</v>
      </c>
      <c r="R20" s="29">
        <f t="shared" si="2"/>
        <v>250</v>
      </c>
    </row>
    <row r="21" spans="2:18" ht="12.75">
      <c r="B21" s="62" t="s">
        <v>80</v>
      </c>
      <c r="E21" s="35" t="s">
        <v>11</v>
      </c>
      <c r="F21" s="36">
        <f t="shared" si="3"/>
        <v>300</v>
      </c>
      <c r="G21" s="37">
        <f>'Irrigation Demand Estimates'!F14*'Irrigation Demand Estimates'!G14</f>
        <v>0</v>
      </c>
      <c r="H21" s="36">
        <f t="shared" si="0"/>
        <v>300</v>
      </c>
      <c r="I21" s="38">
        <v>4.32</v>
      </c>
      <c r="J21" s="36">
        <f t="shared" si="4"/>
        <v>238</v>
      </c>
      <c r="K21" s="38">
        <v>0.62</v>
      </c>
      <c r="L21" s="35">
        <v>0.85</v>
      </c>
      <c r="M21" s="36">
        <f t="shared" si="1"/>
        <v>541.84032</v>
      </c>
      <c r="N21" s="22">
        <f t="shared" si="5"/>
        <v>703.81026</v>
      </c>
      <c r="O21" s="36">
        <f>IF(N21&lt;0,0,IF(N21&gt;C14,C14,N21))</f>
        <v>250</v>
      </c>
      <c r="Q21" s="22">
        <f t="shared" si="6"/>
        <v>2073.25442</v>
      </c>
      <c r="R21" s="29">
        <f t="shared" si="2"/>
        <v>250</v>
      </c>
    </row>
    <row r="22" spans="2:15" s="18" customFormat="1" ht="12.75">
      <c r="B22" s="62" t="s">
        <v>70</v>
      </c>
      <c r="E22" s="35" t="s">
        <v>75</v>
      </c>
      <c r="F22" s="19"/>
      <c r="G22" s="20"/>
      <c r="H22" s="19">
        <f>SUM(H10:H21)</f>
        <v>4061.7</v>
      </c>
      <c r="I22" s="21">
        <f>SUM(I10:I21)</f>
        <v>32.17</v>
      </c>
      <c r="J22" s="19"/>
      <c r="K22" s="21"/>
      <c r="M22" s="19">
        <f>SUM(M10:M21)</f>
        <v>4034.95442</v>
      </c>
      <c r="N22" s="19"/>
      <c r="O22" s="19"/>
    </row>
    <row r="23" spans="2:14" ht="12.75">
      <c r="B23" s="70" t="s">
        <v>84</v>
      </c>
      <c r="E23" s="18"/>
      <c r="F23" s="19"/>
      <c r="G23" s="20"/>
      <c r="H23" s="19"/>
      <c r="I23" s="21"/>
      <c r="J23" s="19"/>
      <c r="K23" s="21"/>
      <c r="L23" s="18"/>
      <c r="M23" s="22"/>
      <c r="N23" s="19"/>
    </row>
    <row r="24" spans="5:11" ht="12.75">
      <c r="E24" t="s">
        <v>42</v>
      </c>
      <c r="G24">
        <f>C27</f>
        <v>0</v>
      </c>
      <c r="H24">
        <f>C26</f>
        <v>1000</v>
      </c>
      <c r="I24" t="s">
        <v>43</v>
      </c>
      <c r="K24" t="s">
        <v>44</v>
      </c>
    </row>
    <row r="25" spans="2:15" ht="76.5">
      <c r="B25" s="71" t="s">
        <v>86</v>
      </c>
      <c r="E25" s="39"/>
      <c r="F25" s="34" t="s">
        <v>17</v>
      </c>
      <c r="G25" s="34" t="s">
        <v>14</v>
      </c>
      <c r="H25" s="34" t="s">
        <v>16</v>
      </c>
      <c r="I25" s="34" t="s">
        <v>45</v>
      </c>
      <c r="J25" s="34" t="s">
        <v>15</v>
      </c>
      <c r="K25" s="34" t="s">
        <v>28</v>
      </c>
      <c r="L25" s="34" t="s">
        <v>82</v>
      </c>
      <c r="M25" s="34" t="s">
        <v>78</v>
      </c>
      <c r="N25" s="35"/>
      <c r="O25" s="34" t="s">
        <v>81</v>
      </c>
    </row>
    <row r="26" spans="2:15" ht="15">
      <c r="B26" s="55" t="s">
        <v>46</v>
      </c>
      <c r="C26" s="54">
        <v>1000</v>
      </c>
      <c r="E26" s="40" t="s">
        <v>0</v>
      </c>
      <c r="F26" s="41">
        <f>C11</f>
        <v>300</v>
      </c>
      <c r="G26" s="42">
        <f>'Irrigation Demand Estimates'!F19*'Irrigation Demand Estimates'!G19</f>
        <v>0</v>
      </c>
      <c r="H26" s="36">
        <f aca="true" t="shared" si="8" ref="H26:H37">F26+(IF(I26&gt;$C$15,0,MIN(G26,G26*($C$15-I26))))</f>
        <v>300</v>
      </c>
      <c r="I26" s="38">
        <v>3.61</v>
      </c>
      <c r="J26" s="36">
        <f aca="true" t="shared" si="9" ref="J26:J37">$C$28</f>
        <v>238</v>
      </c>
      <c r="K26" s="43">
        <v>0.62</v>
      </c>
      <c r="L26" s="40">
        <v>0.85</v>
      </c>
      <c r="M26" s="41">
        <f aca="true" t="shared" si="10" ref="M26:M37">I26*J26*K26*L26</f>
        <v>452.78785999999997</v>
      </c>
      <c r="N26" s="41">
        <f>(IF(M26&gt;$C$26,$C$26,MAXA(0,($C27+$M10-(IF($I10&gt;2,0,$H10))))))</f>
        <v>307.2937</v>
      </c>
      <c r="O26" s="36">
        <f aca="true" t="shared" si="11" ref="O26:O37">IF(N26&lt;0,0,IF(N26&gt;$C$26,$C$26,N26))</f>
        <v>307.2937</v>
      </c>
    </row>
    <row r="27" spans="2:15" ht="12.75">
      <c r="B27" s="54" t="s">
        <v>50</v>
      </c>
      <c r="C27" s="54">
        <v>0</v>
      </c>
      <c r="E27" s="40" t="s">
        <v>1</v>
      </c>
      <c r="F27" s="36">
        <f aca="true" t="shared" si="12" ref="F27:F37">F26</f>
        <v>300</v>
      </c>
      <c r="G27" s="42">
        <f>'Irrigation Demand Estimates'!F20*'Irrigation Demand Estimates'!G20</f>
        <v>0</v>
      </c>
      <c r="H27" s="36">
        <f t="shared" si="8"/>
        <v>300</v>
      </c>
      <c r="I27" s="38">
        <v>2.25</v>
      </c>
      <c r="J27" s="36">
        <f t="shared" si="9"/>
        <v>238</v>
      </c>
      <c r="K27" s="43">
        <v>0.62</v>
      </c>
      <c r="L27" s="40">
        <v>0.85</v>
      </c>
      <c r="M27" s="41">
        <f t="shared" si="10"/>
        <v>282.20849999999996</v>
      </c>
      <c r="N27" s="36">
        <f aca="true" t="shared" si="13" ref="N27:N37">(IF(O26=$C$26,MIN($C$26,(O26+M27-H27)),MAXA(0,(O26+$M27-(IF($I27&gt;2,0,$H27))))))</f>
        <v>589.5021999999999</v>
      </c>
      <c r="O27" s="36">
        <f t="shared" si="11"/>
        <v>589.5021999999999</v>
      </c>
    </row>
    <row r="28" spans="2:15" ht="12.75">
      <c r="B28" s="54" t="s">
        <v>51</v>
      </c>
      <c r="C28" s="54">
        <v>238</v>
      </c>
      <c r="E28" s="40" t="s">
        <v>2</v>
      </c>
      <c r="F28" s="36">
        <f t="shared" si="12"/>
        <v>300</v>
      </c>
      <c r="G28" s="37">
        <f>C12</f>
        <v>270</v>
      </c>
      <c r="H28" s="36">
        <f t="shared" si="8"/>
        <v>300</v>
      </c>
      <c r="I28" s="38">
        <v>2.22</v>
      </c>
      <c r="J28" s="36">
        <f t="shared" si="9"/>
        <v>238</v>
      </c>
      <c r="K28" s="43">
        <v>0.62</v>
      </c>
      <c r="L28" s="40">
        <v>0.85</v>
      </c>
      <c r="M28" s="41">
        <f t="shared" si="10"/>
        <v>278.44572</v>
      </c>
      <c r="N28" s="36">
        <f t="shared" si="13"/>
        <v>867.9479199999998</v>
      </c>
      <c r="O28" s="36">
        <f t="shared" si="11"/>
        <v>867.9479199999998</v>
      </c>
    </row>
    <row r="29" spans="5:15" ht="12.75">
      <c r="E29" s="40" t="s">
        <v>3</v>
      </c>
      <c r="F29" s="36">
        <f t="shared" si="12"/>
        <v>300</v>
      </c>
      <c r="G29" s="37">
        <f aca="true" t="shared" si="14" ref="G29:G35">G28</f>
        <v>270</v>
      </c>
      <c r="H29" s="36">
        <f t="shared" si="8"/>
        <v>386.40000000000003</v>
      </c>
      <c r="I29" s="38">
        <v>1.68</v>
      </c>
      <c r="J29" s="36">
        <f t="shared" si="9"/>
        <v>238</v>
      </c>
      <c r="K29" s="43">
        <v>0.62</v>
      </c>
      <c r="L29" s="40">
        <v>0.85</v>
      </c>
      <c r="M29" s="41">
        <f t="shared" si="10"/>
        <v>210.71567999999996</v>
      </c>
      <c r="N29" s="36">
        <f t="shared" si="13"/>
        <v>692.2635999999998</v>
      </c>
      <c r="O29" s="36">
        <f t="shared" si="11"/>
        <v>692.2635999999998</v>
      </c>
    </row>
    <row r="30" spans="2:15" ht="12.75">
      <c r="B30" t="s">
        <v>71</v>
      </c>
      <c r="E30" s="40" t="s">
        <v>4</v>
      </c>
      <c r="F30" s="36">
        <f t="shared" si="12"/>
        <v>300</v>
      </c>
      <c r="G30" s="37">
        <f t="shared" si="14"/>
        <v>270</v>
      </c>
      <c r="H30" s="36">
        <f t="shared" si="8"/>
        <v>310.8</v>
      </c>
      <c r="I30" s="38">
        <v>1.96</v>
      </c>
      <c r="J30" s="36">
        <f t="shared" si="9"/>
        <v>238</v>
      </c>
      <c r="K30" s="43">
        <v>0.62</v>
      </c>
      <c r="L30" s="40">
        <v>0.85</v>
      </c>
      <c r="M30" s="41">
        <f t="shared" si="10"/>
        <v>245.83496</v>
      </c>
      <c r="N30" s="36">
        <f t="shared" si="13"/>
        <v>627.2985599999997</v>
      </c>
      <c r="O30" s="36">
        <f t="shared" si="11"/>
        <v>627.2985599999997</v>
      </c>
    </row>
    <row r="31" spans="2:15" ht="12.75">
      <c r="B31" t="s">
        <v>72</v>
      </c>
      <c r="E31" s="40" t="s">
        <v>5</v>
      </c>
      <c r="F31" s="36">
        <f t="shared" si="12"/>
        <v>300</v>
      </c>
      <c r="G31" s="37">
        <f t="shared" si="14"/>
        <v>270</v>
      </c>
      <c r="H31" s="36">
        <f t="shared" si="8"/>
        <v>394.5</v>
      </c>
      <c r="I31" s="38">
        <v>1.65</v>
      </c>
      <c r="J31" s="36">
        <f t="shared" si="9"/>
        <v>238</v>
      </c>
      <c r="K31" s="43">
        <v>0.62</v>
      </c>
      <c r="L31" s="40">
        <v>0.85</v>
      </c>
      <c r="M31" s="41">
        <f t="shared" si="10"/>
        <v>206.9529</v>
      </c>
      <c r="N31" s="36">
        <f t="shared" si="13"/>
        <v>439.7514599999997</v>
      </c>
      <c r="O31" s="36">
        <f t="shared" si="11"/>
        <v>439.7514599999997</v>
      </c>
    </row>
    <row r="32" spans="2:15" ht="12.75">
      <c r="B32" t="s">
        <v>73</v>
      </c>
      <c r="E32" s="40" t="s">
        <v>6</v>
      </c>
      <c r="F32" s="36">
        <f t="shared" si="12"/>
        <v>300</v>
      </c>
      <c r="G32" s="37">
        <f t="shared" si="14"/>
        <v>270</v>
      </c>
      <c r="H32" s="36">
        <f t="shared" si="8"/>
        <v>300</v>
      </c>
      <c r="I32" s="38">
        <v>5.93</v>
      </c>
      <c r="J32" s="36">
        <f t="shared" si="9"/>
        <v>238</v>
      </c>
      <c r="K32" s="43">
        <v>0.62</v>
      </c>
      <c r="L32" s="40">
        <v>0.85</v>
      </c>
      <c r="M32" s="41">
        <f t="shared" si="10"/>
        <v>743.77618</v>
      </c>
      <c r="N32" s="36">
        <f t="shared" si="13"/>
        <v>1183.5276399999998</v>
      </c>
      <c r="O32" s="36">
        <f t="shared" si="11"/>
        <v>1000</v>
      </c>
    </row>
    <row r="33" spans="5:15" ht="12.75">
      <c r="E33" s="40" t="s">
        <v>7</v>
      </c>
      <c r="F33" s="36">
        <f t="shared" si="12"/>
        <v>300</v>
      </c>
      <c r="G33" s="37">
        <f t="shared" si="14"/>
        <v>270</v>
      </c>
      <c r="H33" s="36">
        <f t="shared" si="8"/>
        <v>300</v>
      </c>
      <c r="I33" s="38">
        <v>2.62</v>
      </c>
      <c r="J33" s="36">
        <f t="shared" si="9"/>
        <v>238</v>
      </c>
      <c r="K33" s="43">
        <v>0.62</v>
      </c>
      <c r="L33" s="40">
        <v>0.85</v>
      </c>
      <c r="M33" s="41">
        <f t="shared" si="10"/>
        <v>328.61612</v>
      </c>
      <c r="N33" s="36">
        <f t="shared" si="13"/>
        <v>1000</v>
      </c>
      <c r="O33" s="36">
        <f t="shared" si="11"/>
        <v>1000</v>
      </c>
    </row>
    <row r="34" spans="5:15" ht="12.75">
      <c r="E34" s="40" t="s">
        <v>8</v>
      </c>
      <c r="F34" s="36">
        <f t="shared" si="12"/>
        <v>300</v>
      </c>
      <c r="G34" s="37">
        <f t="shared" si="14"/>
        <v>270</v>
      </c>
      <c r="H34" s="36">
        <f t="shared" si="8"/>
        <v>570</v>
      </c>
      <c r="I34" s="38">
        <v>0.93</v>
      </c>
      <c r="J34" s="36">
        <f t="shared" si="9"/>
        <v>238</v>
      </c>
      <c r="K34" s="43">
        <v>0.62</v>
      </c>
      <c r="L34" s="40">
        <v>0.85</v>
      </c>
      <c r="M34" s="41">
        <f t="shared" si="10"/>
        <v>116.64617999999999</v>
      </c>
      <c r="N34" s="36">
        <f t="shared" si="13"/>
        <v>546.64618</v>
      </c>
      <c r="O34" s="36">
        <f t="shared" si="11"/>
        <v>546.64618</v>
      </c>
    </row>
    <row r="35" spans="5:15" ht="12.75">
      <c r="E35" s="40" t="s">
        <v>9</v>
      </c>
      <c r="F35" s="36">
        <f t="shared" si="12"/>
        <v>300</v>
      </c>
      <c r="G35" s="37">
        <f t="shared" si="14"/>
        <v>270</v>
      </c>
      <c r="H35" s="36">
        <f t="shared" si="8"/>
        <v>300</v>
      </c>
      <c r="I35" s="38">
        <v>2.63</v>
      </c>
      <c r="J35" s="36">
        <f t="shared" si="9"/>
        <v>238</v>
      </c>
      <c r="K35" s="43">
        <v>0.62</v>
      </c>
      <c r="L35" s="40">
        <v>0.85</v>
      </c>
      <c r="M35" s="41">
        <f t="shared" si="10"/>
        <v>329.87037999999995</v>
      </c>
      <c r="N35" s="36">
        <f t="shared" si="13"/>
        <v>876.5165599999999</v>
      </c>
      <c r="O35" s="36">
        <f t="shared" si="11"/>
        <v>876.5165599999999</v>
      </c>
    </row>
    <row r="36" spans="5:15" ht="12.75">
      <c r="E36" s="40" t="s">
        <v>10</v>
      </c>
      <c r="F36" s="36">
        <f t="shared" si="12"/>
        <v>300</v>
      </c>
      <c r="G36" s="42">
        <f>'Irrigation Demand Estimates'!F29*'Irrigation Demand Estimates'!G29</f>
        <v>0</v>
      </c>
      <c r="H36" s="36">
        <f t="shared" si="8"/>
        <v>300</v>
      </c>
      <c r="I36" s="38">
        <v>1.69</v>
      </c>
      <c r="J36" s="36">
        <f t="shared" si="9"/>
        <v>238</v>
      </c>
      <c r="K36" s="43">
        <v>0.62</v>
      </c>
      <c r="L36" s="40">
        <v>0.85</v>
      </c>
      <c r="M36" s="41">
        <f t="shared" si="10"/>
        <v>211.96993999999998</v>
      </c>
      <c r="N36" s="36">
        <f t="shared" si="13"/>
        <v>788.4865</v>
      </c>
      <c r="O36" s="36">
        <f t="shared" si="11"/>
        <v>788.4865</v>
      </c>
    </row>
    <row r="37" spans="5:15" ht="12.75">
      <c r="E37" s="40" t="s">
        <v>11</v>
      </c>
      <c r="F37" s="36">
        <f t="shared" si="12"/>
        <v>300</v>
      </c>
      <c r="G37" s="42">
        <f>'Irrigation Demand Estimates'!F30*'Irrigation Demand Estimates'!G30</f>
        <v>0</v>
      </c>
      <c r="H37" s="36">
        <f t="shared" si="8"/>
        <v>300</v>
      </c>
      <c r="I37" s="38">
        <v>4.32</v>
      </c>
      <c r="J37" s="36">
        <f t="shared" si="9"/>
        <v>238</v>
      </c>
      <c r="K37" s="43">
        <v>0.62</v>
      </c>
      <c r="L37" s="40">
        <v>0.85</v>
      </c>
      <c r="M37" s="41">
        <f t="shared" si="10"/>
        <v>541.84032</v>
      </c>
      <c r="N37" s="36">
        <f t="shared" si="13"/>
        <v>1330.32682</v>
      </c>
      <c r="O37" s="36">
        <f t="shared" si="11"/>
        <v>1000</v>
      </c>
    </row>
    <row r="38" spans="5:13" s="18" customFormat="1" ht="12.75">
      <c r="E38" s="40" t="s">
        <v>75</v>
      </c>
      <c r="F38">
        <f>SUM(F26:F37)</f>
        <v>3600</v>
      </c>
      <c r="H38" s="19">
        <f>SUM(H26:H37)</f>
        <v>4061.7</v>
      </c>
      <c r="I38" s="21">
        <f>SUM(I26:I37)</f>
        <v>31.49</v>
      </c>
      <c r="K38" s="21"/>
      <c r="M38" s="19">
        <f>SUM(M26:M37)</f>
        <v>3949.66474</v>
      </c>
    </row>
    <row r="39" spans="7:13" ht="12.75">
      <c r="G39">
        <f>F38+H38</f>
        <v>7661.7</v>
      </c>
      <c r="K39" s="1"/>
      <c r="M39" s="22"/>
    </row>
    <row r="40" spans="2:15" ht="29.25" customHeight="1">
      <c r="B40" s="73" t="s">
        <v>38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4"/>
    </row>
    <row r="41" ht="12.75">
      <c r="K41" s="1"/>
    </row>
    <row r="42" spans="2:14" ht="27" customHeight="1">
      <c r="B42" s="72" t="s">
        <v>85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4" ht="12.75">
      <c r="B44" t="s">
        <v>39</v>
      </c>
    </row>
    <row r="46" ht="12.75">
      <c r="B46" s="53" t="s">
        <v>62</v>
      </c>
    </row>
    <row r="47" spans="2:6" ht="12.75">
      <c r="B47" s="66">
        <v>39475</v>
      </c>
      <c r="D47" t="s">
        <v>63</v>
      </c>
      <c r="F47" s="67" t="s">
        <v>64</v>
      </c>
    </row>
    <row r="49" ht="12.75">
      <c r="B49" s="56"/>
    </row>
  </sheetData>
  <mergeCells count="2">
    <mergeCell ref="B42:N42"/>
    <mergeCell ref="B40:O40"/>
  </mergeCells>
  <hyperlinks>
    <hyperlink ref="F47" r:id="rId1" display="ads@wizardanswers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B1">
      <selection activeCell="D5" sqref="D5"/>
    </sheetView>
  </sheetViews>
  <sheetFormatPr defaultColWidth="9.140625" defaultRowHeight="12.75"/>
  <cols>
    <col min="2" max="2" width="31.421875" style="0" bestFit="1" customWidth="1"/>
    <col min="3" max="3" width="15.140625" style="0" customWidth="1"/>
    <col min="7" max="7" width="0" style="0" hidden="1" customWidth="1"/>
    <col min="12" max="12" width="12.00390625" style="0" customWidth="1"/>
    <col min="15" max="15" width="9.140625" style="0" hidden="1" customWidth="1"/>
    <col min="18" max="18" width="0" style="0" hidden="1" customWidth="1"/>
  </cols>
  <sheetData>
    <row r="1" spans="1:5" ht="12.75">
      <c r="A1" s="2"/>
      <c r="E1" t="s">
        <v>24</v>
      </c>
    </row>
    <row r="2" spans="2:18" ht="89.25">
      <c r="B2" s="14" t="s">
        <v>21</v>
      </c>
      <c r="C2" s="15"/>
      <c r="E2" s="3"/>
      <c r="F2" s="26" t="s">
        <v>22</v>
      </c>
      <c r="H2" s="26" t="s">
        <v>30</v>
      </c>
      <c r="I2" s="26" t="s">
        <v>23</v>
      </c>
      <c r="J2" s="26" t="s">
        <v>19</v>
      </c>
      <c r="K2" s="26" t="s">
        <v>15</v>
      </c>
      <c r="L2" s="27" t="s">
        <v>28</v>
      </c>
      <c r="M2" s="27" t="s">
        <v>27</v>
      </c>
      <c r="N2" s="26" t="s">
        <v>13</v>
      </c>
      <c r="P2" s="27" t="s">
        <v>33</v>
      </c>
      <c r="R2" t="s">
        <v>29</v>
      </c>
    </row>
    <row r="3" spans="2:18" ht="15">
      <c r="B3" s="16" t="s">
        <v>20</v>
      </c>
      <c r="C3" s="23">
        <v>1300</v>
      </c>
      <c r="E3" s="5" t="s">
        <v>0</v>
      </c>
      <c r="F3" s="6">
        <f>C4</f>
        <v>1000</v>
      </c>
      <c r="G3" s="7">
        <v>0</v>
      </c>
      <c r="H3" s="7">
        <f aca="true" t="shared" si="0" ref="H3:H14">IF(G3&lt;0,0,G3)</f>
        <v>0</v>
      </c>
      <c r="I3" s="8">
        <f>G3*0.62*F3</f>
        <v>0</v>
      </c>
      <c r="J3" s="7">
        <v>1.97</v>
      </c>
      <c r="K3" s="6">
        <f>C3</f>
        <v>1300</v>
      </c>
      <c r="L3" s="7">
        <v>0.62</v>
      </c>
      <c r="M3" s="5">
        <v>0.85</v>
      </c>
      <c r="N3" s="6">
        <f aca="true" t="shared" si="1" ref="N3:N14">J3*K3*L3*M3</f>
        <v>1349.647</v>
      </c>
      <c r="O3" s="6">
        <f>+N3-I3</f>
        <v>1349.647</v>
      </c>
      <c r="P3" s="6">
        <f>IF(O3&lt;0,0,IF(O3&gt;C5,C5,O3))</f>
        <v>150</v>
      </c>
      <c r="R3">
        <v>1.0250526315789474</v>
      </c>
    </row>
    <row r="4" spans="2:19" ht="15">
      <c r="B4" s="17" t="s">
        <v>26</v>
      </c>
      <c r="C4" s="24">
        <v>1000</v>
      </c>
      <c r="E4" s="5" t="s">
        <v>1</v>
      </c>
      <c r="F4" s="6">
        <f aca="true" t="shared" si="2" ref="F4:F14">F3</f>
        <v>1000</v>
      </c>
      <c r="G4" s="7">
        <v>0</v>
      </c>
      <c r="H4" s="7">
        <f t="shared" si="0"/>
        <v>0</v>
      </c>
      <c r="I4" s="8">
        <f>G4*0.62*F4</f>
        <v>0</v>
      </c>
      <c r="J4" s="7">
        <v>2.4</v>
      </c>
      <c r="K4" s="6">
        <f aca="true" t="shared" si="3" ref="K4:K14">K3</f>
        <v>1300</v>
      </c>
      <c r="L4" s="7">
        <v>0.62</v>
      </c>
      <c r="M4" s="5">
        <v>0.85</v>
      </c>
      <c r="N4" s="6">
        <f t="shared" si="1"/>
        <v>1644.24</v>
      </c>
      <c r="O4" s="6">
        <f aca="true" t="shared" si="4" ref="O4:O14">P3+N4-I4</f>
        <v>1794.24</v>
      </c>
      <c r="P4" s="6">
        <f>IF(O4&lt;0,0,IF(O4&gt;C5,C5,O4))</f>
        <v>150</v>
      </c>
      <c r="R4">
        <v>1.3686315789473689</v>
      </c>
      <c r="S4" s="29"/>
    </row>
    <row r="5" spans="2:19" ht="15">
      <c r="B5" s="28" t="s">
        <v>41</v>
      </c>
      <c r="C5" s="25">
        <v>150</v>
      </c>
      <c r="E5" s="5" t="s">
        <v>2</v>
      </c>
      <c r="F5" s="6">
        <f t="shared" si="2"/>
        <v>1000</v>
      </c>
      <c r="G5" s="7">
        <f aca="true" t="shared" si="5" ref="G5:G12">R5-J5</f>
        <v>-0.4158947368421049</v>
      </c>
      <c r="H5" s="7">
        <f t="shared" si="0"/>
        <v>0</v>
      </c>
      <c r="I5" s="8">
        <f aca="true" t="shared" si="6" ref="I5:I12">H5*0.62*F5</f>
        <v>0</v>
      </c>
      <c r="J5" s="7">
        <v>2.91</v>
      </c>
      <c r="K5" s="6">
        <f t="shared" si="3"/>
        <v>1300</v>
      </c>
      <c r="L5" s="7">
        <v>0.62</v>
      </c>
      <c r="M5" s="5">
        <v>0.85</v>
      </c>
      <c r="N5" s="6">
        <f t="shared" si="1"/>
        <v>1993.641</v>
      </c>
      <c r="O5" s="6">
        <f t="shared" si="4"/>
        <v>2143.641</v>
      </c>
      <c r="P5" s="6">
        <f>IF(O5&lt;0,0,IF(O5&gt;C5,C5,O5))</f>
        <v>150</v>
      </c>
      <c r="R5">
        <v>2.4941052631578953</v>
      </c>
      <c r="S5" s="29"/>
    </row>
    <row r="6" spans="5:19" ht="12.75">
      <c r="E6" s="5" t="s">
        <v>3</v>
      </c>
      <c r="F6" s="6">
        <f t="shared" si="2"/>
        <v>1000</v>
      </c>
      <c r="G6" s="7">
        <f t="shared" si="5"/>
        <v>-0.7332631578947364</v>
      </c>
      <c r="H6" s="7">
        <f t="shared" si="0"/>
        <v>0</v>
      </c>
      <c r="I6" s="8">
        <f t="shared" si="6"/>
        <v>0</v>
      </c>
      <c r="J6" s="7">
        <v>3.81</v>
      </c>
      <c r="K6" s="6">
        <f t="shared" si="3"/>
        <v>1300</v>
      </c>
      <c r="L6" s="7">
        <v>0.62</v>
      </c>
      <c r="M6" s="5">
        <v>0.85</v>
      </c>
      <c r="N6" s="6">
        <f t="shared" si="1"/>
        <v>2610.231</v>
      </c>
      <c r="O6" s="6">
        <f t="shared" si="4"/>
        <v>2760.231</v>
      </c>
      <c r="P6" s="6">
        <f>IF(O6&lt;0,0,IF(O6&gt;C5,C5,O6))</f>
        <v>150</v>
      </c>
      <c r="R6">
        <v>3.0767368421052637</v>
      </c>
      <c r="S6" s="29"/>
    </row>
    <row r="7" spans="5:19" ht="12.75">
      <c r="E7" s="5" t="s">
        <v>4</v>
      </c>
      <c r="F7" s="6">
        <f t="shared" si="2"/>
        <v>1000</v>
      </c>
      <c r="G7" s="7">
        <f t="shared" si="5"/>
        <v>-0.44399999999999995</v>
      </c>
      <c r="H7" s="7">
        <f t="shared" si="0"/>
        <v>0</v>
      </c>
      <c r="I7" s="8">
        <f t="shared" si="6"/>
        <v>0</v>
      </c>
      <c r="J7" s="7">
        <v>5.01</v>
      </c>
      <c r="K7" s="6">
        <f t="shared" si="3"/>
        <v>1300</v>
      </c>
      <c r="L7" s="7">
        <v>0.62</v>
      </c>
      <c r="M7" s="5">
        <v>0.85</v>
      </c>
      <c r="N7" s="6">
        <f t="shared" si="1"/>
        <v>3432.3509999999997</v>
      </c>
      <c r="O7" s="6">
        <f t="shared" si="4"/>
        <v>3582.3509999999997</v>
      </c>
      <c r="P7" s="6">
        <f>IF(O7&lt;0,0,IF(O7&gt;C5,C5,O7))</f>
        <v>150</v>
      </c>
      <c r="R7">
        <v>4.566</v>
      </c>
      <c r="S7" s="29"/>
    </row>
    <row r="8" spans="5:19" ht="12.75">
      <c r="E8" s="5" t="s">
        <v>5</v>
      </c>
      <c r="F8" s="6">
        <f t="shared" si="2"/>
        <v>1000</v>
      </c>
      <c r="G8" s="7">
        <f t="shared" si="5"/>
        <v>1.8704210526315794</v>
      </c>
      <c r="H8" s="7">
        <f t="shared" si="0"/>
        <v>1.8704210526315794</v>
      </c>
      <c r="I8" s="8">
        <f t="shared" si="6"/>
        <v>1159.6610526315792</v>
      </c>
      <c r="J8" s="7">
        <v>3.12</v>
      </c>
      <c r="K8" s="6">
        <f t="shared" si="3"/>
        <v>1300</v>
      </c>
      <c r="L8" s="7">
        <v>0.62</v>
      </c>
      <c r="M8" s="5">
        <v>0.85</v>
      </c>
      <c r="N8" s="6">
        <f t="shared" si="1"/>
        <v>2137.5119999999997</v>
      </c>
      <c r="O8" s="6">
        <f t="shared" si="4"/>
        <v>1127.8509473684205</v>
      </c>
      <c r="P8" s="6">
        <f>IF(O8&lt;0,0,IF(O8&gt;C5,C5,O8))</f>
        <v>150</v>
      </c>
      <c r="R8">
        <v>4.9904210526315795</v>
      </c>
      <c r="S8" s="29"/>
    </row>
    <row r="9" spans="5:19" ht="12.75">
      <c r="E9" s="5" t="s">
        <v>6</v>
      </c>
      <c r="F9" s="6">
        <f t="shared" si="2"/>
        <v>1000</v>
      </c>
      <c r="G9" s="7">
        <f t="shared" si="5"/>
        <v>2.9081052631578945</v>
      </c>
      <c r="H9" s="7">
        <f t="shared" si="0"/>
        <v>2.9081052631578945</v>
      </c>
      <c r="I9" s="8">
        <f t="shared" si="6"/>
        <v>1803.0252631578946</v>
      </c>
      <c r="J9" s="7">
        <v>2.04</v>
      </c>
      <c r="K9" s="6">
        <f t="shared" si="3"/>
        <v>1300</v>
      </c>
      <c r="L9" s="7">
        <v>0.62</v>
      </c>
      <c r="M9" s="5">
        <v>0.85</v>
      </c>
      <c r="N9" s="6">
        <f t="shared" si="1"/>
        <v>1397.604</v>
      </c>
      <c r="O9" s="6">
        <f t="shared" si="4"/>
        <v>-255.4212631578946</v>
      </c>
      <c r="P9" s="6">
        <f>IF(O9&lt;0,0,IF(O9&gt;C5,C5,O9))</f>
        <v>0</v>
      </c>
      <c r="R9">
        <v>4.948105263157895</v>
      </c>
      <c r="S9" s="29"/>
    </row>
    <row r="10" spans="5:19" ht="12.75">
      <c r="E10" s="5" t="s">
        <v>7</v>
      </c>
      <c r="F10" s="6">
        <f t="shared" si="2"/>
        <v>1000</v>
      </c>
      <c r="G10" s="7">
        <f t="shared" si="5"/>
        <v>2.6848421052631575</v>
      </c>
      <c r="H10" s="7">
        <f t="shared" si="0"/>
        <v>2.6848421052631575</v>
      </c>
      <c r="I10" s="8">
        <f t="shared" si="6"/>
        <v>1664.6021052631577</v>
      </c>
      <c r="J10" s="7">
        <v>2.07</v>
      </c>
      <c r="K10" s="6">
        <f t="shared" si="3"/>
        <v>1300</v>
      </c>
      <c r="L10" s="7">
        <v>0.62</v>
      </c>
      <c r="M10" s="5">
        <v>0.85</v>
      </c>
      <c r="N10" s="6">
        <f t="shared" si="1"/>
        <v>1418.157</v>
      </c>
      <c r="O10" s="6">
        <f t="shared" si="4"/>
        <v>-246.44510526315776</v>
      </c>
      <c r="P10" s="6">
        <f>IF(O10&lt;0,0,IF(O10&gt;C5,C5,O10))</f>
        <v>0</v>
      </c>
      <c r="R10">
        <v>4.754842105263157</v>
      </c>
      <c r="S10" s="29"/>
    </row>
    <row r="11" spans="5:19" ht="12.75">
      <c r="E11" s="5" t="s">
        <v>8</v>
      </c>
      <c r="F11" s="6">
        <f t="shared" si="2"/>
        <v>1000</v>
      </c>
      <c r="G11" s="7">
        <f t="shared" si="5"/>
        <v>1.240736842105263</v>
      </c>
      <c r="H11" s="7">
        <f t="shared" si="0"/>
        <v>1.240736842105263</v>
      </c>
      <c r="I11" s="8">
        <f t="shared" si="6"/>
        <v>769.256842105263</v>
      </c>
      <c r="J11" s="7">
        <v>2.67</v>
      </c>
      <c r="K11" s="6">
        <f t="shared" si="3"/>
        <v>1300</v>
      </c>
      <c r="L11" s="7">
        <v>0.62</v>
      </c>
      <c r="M11" s="5">
        <v>0.85</v>
      </c>
      <c r="N11" s="6">
        <f t="shared" si="1"/>
        <v>1829.2169999999999</v>
      </c>
      <c r="O11" s="6">
        <f t="shared" si="4"/>
        <v>1059.9601578947368</v>
      </c>
      <c r="P11" s="6">
        <f>IF(O11&lt;0,0,IF(O11&gt;C5,C5,O11))</f>
        <v>150</v>
      </c>
      <c r="R11">
        <v>3.910736842105263</v>
      </c>
      <c r="S11" s="29"/>
    </row>
    <row r="12" spans="5:18" ht="12.75">
      <c r="E12" s="5" t="s">
        <v>9</v>
      </c>
      <c r="F12" s="6">
        <f t="shared" si="2"/>
        <v>1000</v>
      </c>
      <c r="G12" s="7">
        <f t="shared" si="5"/>
        <v>-0.748947368421053</v>
      </c>
      <c r="H12" s="7">
        <f t="shared" si="0"/>
        <v>0</v>
      </c>
      <c r="I12" s="8">
        <f t="shared" si="6"/>
        <v>0</v>
      </c>
      <c r="J12" s="7">
        <v>3.76</v>
      </c>
      <c r="K12" s="6">
        <f t="shared" si="3"/>
        <v>1300</v>
      </c>
      <c r="L12" s="7">
        <v>0.62</v>
      </c>
      <c r="M12" s="5">
        <v>0.85</v>
      </c>
      <c r="N12" s="6">
        <f t="shared" si="1"/>
        <v>2575.976</v>
      </c>
      <c r="O12" s="6">
        <f t="shared" si="4"/>
        <v>2725.976</v>
      </c>
      <c r="P12" s="6">
        <f>IF(O12&lt;0,0,IF(O12&gt;C5,C5,O12))</f>
        <v>150</v>
      </c>
      <c r="R12">
        <v>3.0110526315789468</v>
      </c>
    </row>
    <row r="13" spans="5:18" ht="12.75">
      <c r="E13" s="5" t="s">
        <v>10</v>
      </c>
      <c r="F13" s="6">
        <f t="shared" si="2"/>
        <v>1000</v>
      </c>
      <c r="G13" s="7">
        <v>0</v>
      </c>
      <c r="H13" s="7">
        <f t="shared" si="0"/>
        <v>0</v>
      </c>
      <c r="I13" s="8">
        <f>G13*0.62*F13</f>
        <v>0</v>
      </c>
      <c r="J13" s="7">
        <v>2.7</v>
      </c>
      <c r="K13" s="6">
        <f t="shared" si="3"/>
        <v>1300</v>
      </c>
      <c r="L13" s="7">
        <v>0.62</v>
      </c>
      <c r="M13" s="5">
        <v>0.85</v>
      </c>
      <c r="N13" s="6">
        <f t="shared" si="1"/>
        <v>1849.7700000000002</v>
      </c>
      <c r="O13" s="6">
        <f t="shared" si="4"/>
        <v>1999.7700000000002</v>
      </c>
      <c r="P13" s="6">
        <f>IF(O13&lt;0,0,IF(O13&gt;C5,C5,O13))</f>
        <v>150</v>
      </c>
      <c r="R13">
        <v>1.7242105263157896</v>
      </c>
    </row>
    <row r="14" spans="5:18" ht="12.75">
      <c r="E14" s="5" t="s">
        <v>11</v>
      </c>
      <c r="F14" s="6">
        <f t="shared" si="2"/>
        <v>1000</v>
      </c>
      <c r="G14" s="7">
        <v>0</v>
      </c>
      <c r="H14" s="7">
        <f t="shared" si="0"/>
        <v>0</v>
      </c>
      <c r="I14" s="8">
        <f>G14*0.62*F14</f>
        <v>0</v>
      </c>
      <c r="J14" s="7">
        <v>2.64</v>
      </c>
      <c r="K14" s="6">
        <f t="shared" si="3"/>
        <v>1300</v>
      </c>
      <c r="L14" s="7">
        <v>0.62</v>
      </c>
      <c r="M14" s="5">
        <v>0.85</v>
      </c>
      <c r="N14" s="6">
        <f t="shared" si="1"/>
        <v>1808.664</v>
      </c>
      <c r="O14" s="6">
        <f t="shared" si="4"/>
        <v>1958.664</v>
      </c>
      <c r="P14" s="6">
        <f>IF(O14&lt;0,0,IF(O14&gt;C5,C5,O14))</f>
        <v>150</v>
      </c>
      <c r="R14">
        <v>0.9808421052631577</v>
      </c>
    </row>
    <row r="15" spans="9:18" s="18" customFormat="1" ht="12.75">
      <c r="I15" s="20"/>
      <c r="J15" s="21"/>
      <c r="K15" s="19"/>
      <c r="L15" s="21"/>
      <c r="N15" s="19"/>
      <c r="O15" s="19"/>
      <c r="R15"/>
    </row>
    <row r="16" spans="5:18" ht="12.75">
      <c r="E16" s="18"/>
      <c r="F16" s="18"/>
      <c r="G16" s="18"/>
      <c r="H16" s="18"/>
      <c r="I16" s="20"/>
      <c r="J16" s="21"/>
      <c r="K16" s="19"/>
      <c r="L16" s="21"/>
      <c r="M16" s="18"/>
      <c r="N16" s="19"/>
      <c r="O16" s="19"/>
      <c r="R16" s="18"/>
    </row>
    <row r="17" spans="5:12" ht="12.75">
      <c r="E17" t="s">
        <v>25</v>
      </c>
      <c r="F17" s="18"/>
      <c r="G17" s="18"/>
      <c r="H17" s="18"/>
      <c r="L17" s="1"/>
    </row>
    <row r="18" spans="5:18" ht="89.25">
      <c r="E18" s="4"/>
      <c r="F18" s="27" t="s">
        <v>18</v>
      </c>
      <c r="H18" s="26" t="s">
        <v>30</v>
      </c>
      <c r="I18" s="27" t="s">
        <v>14</v>
      </c>
      <c r="J18" s="27" t="s">
        <v>12</v>
      </c>
      <c r="K18" s="27" t="s">
        <v>15</v>
      </c>
      <c r="L18" s="27" t="s">
        <v>28</v>
      </c>
      <c r="M18" s="27" t="s">
        <v>27</v>
      </c>
      <c r="N18" s="27" t="s">
        <v>13</v>
      </c>
      <c r="P18" s="27" t="s">
        <v>33</v>
      </c>
      <c r="R18" t="s">
        <v>29</v>
      </c>
    </row>
    <row r="19" spans="5:18" ht="12.75">
      <c r="E19" s="10" t="s">
        <v>0</v>
      </c>
      <c r="F19" s="6">
        <f>C4</f>
        <v>1000</v>
      </c>
      <c r="G19" s="7">
        <v>0</v>
      </c>
      <c r="H19" s="7">
        <f aca="true" t="shared" si="7" ref="H19:H30">IF(G19&lt;0,0,G19)</f>
        <v>0</v>
      </c>
      <c r="I19" s="8">
        <f aca="true" t="shared" si="8" ref="I19:I30">G19*0.62*F19</f>
        <v>0</v>
      </c>
      <c r="J19" s="9">
        <v>1.8</v>
      </c>
      <c r="K19" s="6">
        <f>C3</f>
        <v>1300</v>
      </c>
      <c r="L19" s="9">
        <v>0.62</v>
      </c>
      <c r="M19" s="10">
        <v>0.85</v>
      </c>
      <c r="N19" s="11">
        <f aca="true" t="shared" si="9" ref="N19:N30">J19*K19*L19*M19</f>
        <v>1233.1799999999998</v>
      </c>
      <c r="O19" s="6">
        <f>+N19-I19</f>
        <v>1233.1799999999998</v>
      </c>
      <c r="P19" s="6">
        <f>IF(O19&lt;0,0,IF(O19&gt;C5,C5,O19))</f>
        <v>150</v>
      </c>
      <c r="R19">
        <v>1.0250526315789474</v>
      </c>
    </row>
    <row r="20" spans="5:18" ht="12.75">
      <c r="E20" s="10" t="s">
        <v>1</v>
      </c>
      <c r="F20" s="6">
        <f aca="true" t="shared" si="10" ref="F20:F30">F19</f>
        <v>1000</v>
      </c>
      <c r="G20" s="7">
        <v>0</v>
      </c>
      <c r="H20" s="7">
        <f t="shared" si="7"/>
        <v>0</v>
      </c>
      <c r="I20" s="8">
        <f t="shared" si="8"/>
        <v>0</v>
      </c>
      <c r="J20" s="9">
        <v>2.11</v>
      </c>
      <c r="K20" s="6">
        <f aca="true" t="shared" si="11" ref="K20:K30">K19</f>
        <v>1300</v>
      </c>
      <c r="L20" s="9">
        <v>0.62</v>
      </c>
      <c r="M20" s="10">
        <v>0.85</v>
      </c>
      <c r="N20" s="11">
        <f t="shared" si="9"/>
        <v>1445.561</v>
      </c>
      <c r="O20" s="6">
        <f aca="true" t="shared" si="12" ref="O20:O30">P19+N20-I20</f>
        <v>1595.561</v>
      </c>
      <c r="P20" s="6">
        <f>IF(O20&lt;0,0,IF(O20&gt;C5,C5,O20))</f>
        <v>150</v>
      </c>
      <c r="R20">
        <v>1.3686315789473689</v>
      </c>
    </row>
    <row r="21" spans="5:18" ht="12.75">
      <c r="E21" s="10" t="s">
        <v>2</v>
      </c>
      <c r="F21" s="6">
        <f t="shared" si="10"/>
        <v>1000</v>
      </c>
      <c r="G21" s="7">
        <f aca="true" t="shared" si="13" ref="G21:G28">R21-J21</f>
        <v>0.1341052631578954</v>
      </c>
      <c r="H21" s="7">
        <f t="shared" si="7"/>
        <v>0.1341052631578954</v>
      </c>
      <c r="I21" s="8">
        <f t="shared" si="8"/>
        <v>83.14526315789514</v>
      </c>
      <c r="J21" s="9">
        <v>2.36</v>
      </c>
      <c r="K21" s="6">
        <f t="shared" si="11"/>
        <v>1300</v>
      </c>
      <c r="L21" s="9">
        <v>0.62</v>
      </c>
      <c r="M21" s="10">
        <v>0.85</v>
      </c>
      <c r="N21" s="11">
        <f t="shared" si="9"/>
        <v>1616.836</v>
      </c>
      <c r="O21" s="6">
        <f t="shared" si="12"/>
        <v>1683.6907368421048</v>
      </c>
      <c r="P21" s="6">
        <f>IF(O21&lt;0,0,IF(O21&gt;C5,C5,O21))</f>
        <v>150</v>
      </c>
      <c r="R21">
        <v>2.4941052631578953</v>
      </c>
    </row>
    <row r="22" spans="5:18" ht="12.75">
      <c r="E22" s="10" t="s">
        <v>3</v>
      </c>
      <c r="F22" s="6">
        <f t="shared" si="10"/>
        <v>1000</v>
      </c>
      <c r="G22" s="7">
        <f t="shared" si="13"/>
        <v>0.09673684210526368</v>
      </c>
      <c r="H22" s="7">
        <f t="shared" si="7"/>
        <v>0.09673684210526368</v>
      </c>
      <c r="I22" s="8">
        <f t="shared" si="8"/>
        <v>59.97684210526348</v>
      </c>
      <c r="J22" s="9">
        <v>2.98</v>
      </c>
      <c r="K22" s="6">
        <f t="shared" si="11"/>
        <v>1300</v>
      </c>
      <c r="L22" s="9">
        <v>0.62</v>
      </c>
      <c r="M22" s="10">
        <v>0.85</v>
      </c>
      <c r="N22" s="11">
        <f t="shared" si="9"/>
        <v>2041.598</v>
      </c>
      <c r="O22" s="6">
        <f t="shared" si="12"/>
        <v>2131.6211578947364</v>
      </c>
      <c r="P22" s="6">
        <f>IF(O22&lt;0,0,IF(O22&gt;C5,C5,O22))</f>
        <v>150</v>
      </c>
      <c r="R22">
        <v>3.0767368421052637</v>
      </c>
    </row>
    <row r="23" spans="5:18" ht="12.75">
      <c r="E23" s="10" t="s">
        <v>4</v>
      </c>
      <c r="F23" s="6">
        <f t="shared" si="10"/>
        <v>1000</v>
      </c>
      <c r="G23" s="7">
        <f t="shared" si="13"/>
        <v>0.29600000000000026</v>
      </c>
      <c r="H23" s="7">
        <f t="shared" si="7"/>
        <v>0.29600000000000026</v>
      </c>
      <c r="I23" s="8">
        <f t="shared" si="8"/>
        <v>183.52000000000015</v>
      </c>
      <c r="J23" s="9">
        <v>4.27</v>
      </c>
      <c r="K23" s="6">
        <f t="shared" si="11"/>
        <v>1300</v>
      </c>
      <c r="L23" s="9">
        <v>0.62</v>
      </c>
      <c r="M23" s="10">
        <v>0.85</v>
      </c>
      <c r="N23" s="11">
        <f t="shared" si="9"/>
        <v>2925.3769999999995</v>
      </c>
      <c r="O23" s="6">
        <f t="shared" si="12"/>
        <v>2891.8569999999995</v>
      </c>
      <c r="P23" s="6">
        <f>IF(O23&lt;0,0,IF(O23&gt;C5,C5,O23))</f>
        <v>150</v>
      </c>
      <c r="R23">
        <v>4.566</v>
      </c>
    </row>
    <row r="24" spans="5:18" ht="12.75">
      <c r="E24" s="10" t="s">
        <v>5</v>
      </c>
      <c r="F24" s="6">
        <f t="shared" si="10"/>
        <v>1000</v>
      </c>
      <c r="G24" s="7">
        <f t="shared" si="13"/>
        <v>2.1404210526315794</v>
      </c>
      <c r="H24" s="7">
        <f t="shared" si="7"/>
        <v>2.1404210526315794</v>
      </c>
      <c r="I24" s="8">
        <f t="shared" si="8"/>
        <v>1327.061052631579</v>
      </c>
      <c r="J24" s="9">
        <v>2.85</v>
      </c>
      <c r="K24" s="6">
        <f t="shared" si="11"/>
        <v>1300</v>
      </c>
      <c r="L24" s="9">
        <v>0.62</v>
      </c>
      <c r="M24" s="10">
        <v>0.85</v>
      </c>
      <c r="N24" s="11">
        <f t="shared" si="9"/>
        <v>1952.5349999999999</v>
      </c>
      <c r="O24" s="6">
        <f t="shared" si="12"/>
        <v>775.4739473684208</v>
      </c>
      <c r="P24" s="6">
        <f>IF(O24&lt;0,0,IF(O24&gt;C5,C5,O24))</f>
        <v>150</v>
      </c>
      <c r="R24">
        <v>4.9904210526315795</v>
      </c>
    </row>
    <row r="25" spans="5:18" ht="12.75">
      <c r="E25" s="10" t="s">
        <v>6</v>
      </c>
      <c r="F25" s="6">
        <f t="shared" si="10"/>
        <v>1000</v>
      </c>
      <c r="G25" s="7">
        <f t="shared" si="13"/>
        <v>3.3481052631578945</v>
      </c>
      <c r="H25" s="7">
        <f t="shared" si="7"/>
        <v>3.3481052631578945</v>
      </c>
      <c r="I25" s="8">
        <f t="shared" si="8"/>
        <v>2075.825263157895</v>
      </c>
      <c r="J25" s="9">
        <v>1.6</v>
      </c>
      <c r="K25" s="6">
        <f t="shared" si="11"/>
        <v>1300</v>
      </c>
      <c r="L25" s="9">
        <v>0.62</v>
      </c>
      <c r="M25" s="10">
        <v>0.85</v>
      </c>
      <c r="N25" s="11">
        <f t="shared" si="9"/>
        <v>1096.1599999999999</v>
      </c>
      <c r="O25" s="6">
        <f t="shared" si="12"/>
        <v>-829.665263157895</v>
      </c>
      <c r="P25" s="6">
        <f>IF(O25&lt;0,0,IF(O25&gt;C5,C5,O25))</f>
        <v>0</v>
      </c>
      <c r="R25">
        <v>4.948105263157895</v>
      </c>
    </row>
    <row r="26" spans="5:18" ht="12.75">
      <c r="E26" s="10" t="s">
        <v>7</v>
      </c>
      <c r="F26" s="6">
        <f t="shared" si="10"/>
        <v>1000</v>
      </c>
      <c r="G26" s="7">
        <f t="shared" si="13"/>
        <v>3.014842105263157</v>
      </c>
      <c r="H26" s="7">
        <f t="shared" si="7"/>
        <v>3.014842105263157</v>
      </c>
      <c r="I26" s="8">
        <f t="shared" si="8"/>
        <v>1869.2021052631574</v>
      </c>
      <c r="J26" s="9">
        <v>1.74</v>
      </c>
      <c r="K26" s="6">
        <f t="shared" si="11"/>
        <v>1300</v>
      </c>
      <c r="L26" s="9">
        <v>0.62</v>
      </c>
      <c r="M26" s="10">
        <v>0.85</v>
      </c>
      <c r="N26" s="11">
        <f t="shared" si="9"/>
        <v>1192.074</v>
      </c>
      <c r="O26" s="6">
        <f t="shared" si="12"/>
        <v>-677.1281052631573</v>
      </c>
      <c r="P26" s="6">
        <f>IF(O26&lt;0,0,IF(O26&gt;C5,C5,O26))</f>
        <v>0</v>
      </c>
      <c r="R26">
        <v>4.754842105263157</v>
      </c>
    </row>
    <row r="27" spans="5:18" ht="12.75">
      <c r="E27" s="10" t="s">
        <v>8</v>
      </c>
      <c r="F27" s="6">
        <f t="shared" si="10"/>
        <v>1000</v>
      </c>
      <c r="G27" s="7">
        <f t="shared" si="13"/>
        <v>1.4107368421052628</v>
      </c>
      <c r="H27" s="7">
        <f t="shared" si="7"/>
        <v>1.4107368421052628</v>
      </c>
      <c r="I27" s="8">
        <f t="shared" si="8"/>
        <v>874.656842105263</v>
      </c>
      <c r="J27" s="9">
        <v>2.5</v>
      </c>
      <c r="K27" s="6">
        <f t="shared" si="11"/>
        <v>1300</v>
      </c>
      <c r="L27" s="9">
        <v>0.62</v>
      </c>
      <c r="M27" s="10">
        <v>0.85</v>
      </c>
      <c r="N27" s="11">
        <f t="shared" si="9"/>
        <v>1712.75</v>
      </c>
      <c r="O27" s="6">
        <f t="shared" si="12"/>
        <v>838.093157894737</v>
      </c>
      <c r="P27" s="6">
        <f>IF(O27&lt;0,0,IF(O27&gt;C5,C5,O27))</f>
        <v>150</v>
      </c>
      <c r="R27">
        <v>3.910736842105263</v>
      </c>
    </row>
    <row r="28" spans="5:18" ht="12.75">
      <c r="E28" s="10" t="s">
        <v>9</v>
      </c>
      <c r="F28" s="6">
        <f t="shared" si="10"/>
        <v>1000</v>
      </c>
      <c r="G28" s="7">
        <f t="shared" si="13"/>
        <v>0.07105263157894681</v>
      </c>
      <c r="H28" s="7">
        <f t="shared" si="7"/>
        <v>0.07105263157894681</v>
      </c>
      <c r="I28" s="8">
        <f t="shared" si="8"/>
        <v>44.05263157894702</v>
      </c>
      <c r="J28" s="9">
        <v>2.94</v>
      </c>
      <c r="K28" s="6">
        <f t="shared" si="11"/>
        <v>1300</v>
      </c>
      <c r="L28" s="9">
        <v>0.62</v>
      </c>
      <c r="M28" s="10">
        <v>0.85</v>
      </c>
      <c r="N28" s="11">
        <f t="shared" si="9"/>
        <v>2014.1939999999997</v>
      </c>
      <c r="O28" s="6">
        <f t="shared" si="12"/>
        <v>2120.1413684210524</v>
      </c>
      <c r="P28" s="6">
        <f>IF(O28&lt;0,0,IF(O28&gt;C5,C5,O28))</f>
        <v>150</v>
      </c>
      <c r="R28">
        <v>3.0110526315789468</v>
      </c>
    </row>
    <row r="29" spans="5:18" ht="12.75">
      <c r="E29" s="10" t="s">
        <v>10</v>
      </c>
      <c r="F29" s="6">
        <f t="shared" si="10"/>
        <v>1000</v>
      </c>
      <c r="G29" s="7">
        <v>0</v>
      </c>
      <c r="H29" s="7">
        <f t="shared" si="7"/>
        <v>0</v>
      </c>
      <c r="I29" s="8">
        <f t="shared" si="8"/>
        <v>0</v>
      </c>
      <c r="J29" s="9">
        <v>2</v>
      </c>
      <c r="K29" s="6">
        <f t="shared" si="11"/>
        <v>1300</v>
      </c>
      <c r="L29" s="9">
        <v>0.62</v>
      </c>
      <c r="M29" s="10">
        <v>0.85</v>
      </c>
      <c r="N29" s="11">
        <f t="shared" si="9"/>
        <v>1370.2</v>
      </c>
      <c r="O29" s="6">
        <f t="shared" si="12"/>
        <v>1520.2</v>
      </c>
      <c r="P29" s="6">
        <f>IF(O29&lt;0,0,IF(O29&gt;C5,C5,O29))</f>
        <v>150</v>
      </c>
      <c r="R29">
        <v>1.7242105263157896</v>
      </c>
    </row>
    <row r="30" spans="5:18" ht="12.75">
      <c r="E30" s="10" t="s">
        <v>11</v>
      </c>
      <c r="F30" s="6">
        <f t="shared" si="10"/>
        <v>1000</v>
      </c>
      <c r="G30" s="7">
        <v>0</v>
      </c>
      <c r="H30" s="7">
        <f t="shared" si="7"/>
        <v>0</v>
      </c>
      <c r="I30" s="8">
        <f t="shared" si="8"/>
        <v>0</v>
      </c>
      <c r="J30" s="9">
        <v>2.1</v>
      </c>
      <c r="K30" s="6">
        <f t="shared" si="11"/>
        <v>1300</v>
      </c>
      <c r="L30" s="9">
        <v>0.62</v>
      </c>
      <c r="M30" s="10">
        <v>0.85</v>
      </c>
      <c r="N30" s="11">
        <f t="shared" si="9"/>
        <v>1438.7099999999998</v>
      </c>
      <c r="O30" s="6">
        <f t="shared" si="12"/>
        <v>1588.7099999999998</v>
      </c>
      <c r="P30" s="6">
        <f>IF(O30&lt;0,0,IF(O30&gt;C5,C5,O30))</f>
        <v>150</v>
      </c>
      <c r="R30">
        <v>0.9808421052631577</v>
      </c>
    </row>
    <row r="31" spans="12:18" s="18" customFormat="1" ht="12.75">
      <c r="L31" s="21"/>
      <c r="R31"/>
    </row>
    <row r="32" ht="12.75">
      <c r="R32" s="18"/>
    </row>
    <row r="33" spans="2:15" ht="12.75">
      <c r="B33" s="72" t="s">
        <v>34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5" ht="12.75">
      <c r="B35" t="s">
        <v>32</v>
      </c>
    </row>
    <row r="36" ht="12.75">
      <c r="B36" t="s">
        <v>31</v>
      </c>
    </row>
    <row r="38" ht="12.75">
      <c r="B38" t="s">
        <v>40</v>
      </c>
    </row>
  </sheetData>
  <mergeCells count="1">
    <mergeCell ref="B33:O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RWH System Sizing Estimates Tool</dc:title>
  <dc:subject/>
  <dc:creator>Jan Gerston &amp; Chris Brown</dc:creator>
  <cp:keywords/>
  <dc:description/>
  <cp:lastModifiedBy>John</cp:lastModifiedBy>
  <cp:lastPrinted>2008-01-12T16:50:02Z</cp:lastPrinted>
  <dcterms:created xsi:type="dcterms:W3CDTF">2004-03-27T00:04:58Z</dcterms:created>
  <dcterms:modified xsi:type="dcterms:W3CDTF">2016-09-12T22:06:44Z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